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featurePropertyBag/featurePropertyBag.xml" ContentType="application/vnd.ms-excel.featurepropertyba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udistritaleduco-my.sharepoint.com/personal/pojuand_udistrital_edu_co/Documents/2024/Fourth semester -2024-3/Subjects/Ingeniería Económica/Workshops/"/>
    </mc:Choice>
  </mc:AlternateContent>
  <xr:revisionPtr revIDLastSave="1238" documentId="8_{08DB50B5-2A03-4120-8084-E4DB2507D13A}" xr6:coauthVersionLast="47" xr6:coauthVersionMax="47" xr10:uidLastSave="{34F6CD0D-DC6A-4A3F-846F-19E0965C52C0}"/>
  <bookViews>
    <workbookView xWindow="-120" yWindow="-120" windowWidth="20730" windowHeight="11040" xr2:uid="{2A767319-543A-4693-BDB4-A43AC94D052F}"/>
  </bookViews>
  <sheets>
    <sheet name="Créditos" sheetId="1" r:id="rId1"/>
    <sheet name="Empleados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" i="1" l="1"/>
  <c r="I5" i="2"/>
  <c r="K23" i="1"/>
  <c r="I3" i="2" s="1"/>
  <c r="G3" i="2"/>
  <c r="G4" i="2"/>
  <c r="G2" i="2"/>
  <c r="K2" i="1"/>
  <c r="D4" i="1" s="1"/>
  <c r="F10" i="1"/>
  <c r="B6" i="1"/>
  <c r="I4" i="2" l="1"/>
  <c r="K7" i="1"/>
  <c r="G17" i="1" s="1"/>
  <c r="I2" i="2"/>
  <c r="F8" i="1" a="1"/>
  <c r="F8" i="1" s="1"/>
  <c r="D5" i="1"/>
  <c r="D3" i="1"/>
  <c r="F9" i="1" s="1"/>
  <c r="K20" i="1" s="1"/>
  <c r="K10" i="1" l="1"/>
  <c r="K13" i="1" s="1"/>
  <c r="E9" i="1"/>
  <c r="K15" i="1" l="1" a="1"/>
  <c r="K15" i="1" s="1"/>
  <c r="C18" i="1" s="1"/>
  <c r="D18" i="1"/>
  <c r="E18" i="1" l="1"/>
  <c r="G18" i="1" l="1"/>
  <c r="B19" i="1" s="1"/>
  <c r="C19" i="1" s="1" a="1"/>
  <c r="C19" i="1" s="1"/>
  <c r="D19" i="1" l="1"/>
  <c r="E19" i="1" l="1"/>
  <c r="G19" i="1" s="1"/>
  <c r="B20" i="1" s="1"/>
  <c r="D20" i="1" l="1"/>
  <c r="C20" i="1" a="1"/>
  <c r="C20" i="1" s="1"/>
  <c r="E20" i="1" l="1"/>
  <c r="G20" i="1" s="1"/>
  <c r="B21" i="1" s="1"/>
  <c r="D21" i="1" s="1"/>
  <c r="C21" i="1" l="1" a="1"/>
  <c r="C21" i="1" s="1"/>
  <c r="E21" i="1" s="1"/>
  <c r="G21" i="1" s="1"/>
  <c r="B22" i="1" s="1"/>
  <c r="C22" i="1" l="1" a="1"/>
  <c r="C22" i="1" s="1"/>
  <c r="D22" i="1"/>
  <c r="E22" i="1" l="1"/>
  <c r="G22" i="1" s="1"/>
  <c r="B23" i="1" s="1"/>
  <c r="C23" i="1" s="1" a="1"/>
  <c r="C23" i="1" s="1"/>
  <c r="D23" i="1" l="1"/>
  <c r="E23" i="1" s="1"/>
  <c r="G23" i="1" s="1"/>
  <c r="B24" i="1" s="1"/>
  <c r="D24" i="1" l="1"/>
  <c r="C24" i="1" a="1"/>
  <c r="C24" i="1" s="1"/>
  <c r="E24" i="1" l="1"/>
  <c r="G24" i="1" s="1"/>
  <c r="B25" i="1" s="1"/>
  <c r="C25" i="1" s="1" a="1"/>
  <c r="C25" i="1" s="1"/>
  <c r="D25" i="1" l="1"/>
  <c r="E25" i="1" s="1"/>
  <c r="G25" i="1" s="1"/>
  <c r="B26" i="1" s="1"/>
  <c r="D26" i="1" l="1"/>
  <c r="C26" i="1" a="1"/>
  <c r="C26" i="1" s="1"/>
  <c r="E26" i="1" l="1"/>
  <c r="G26" i="1" s="1"/>
  <c r="B27" i="1" s="1"/>
  <c r="C27" i="1" s="1" a="1"/>
  <c r="C27" i="1" s="1"/>
  <c r="D27" i="1" l="1"/>
  <c r="E27" i="1" s="1"/>
  <c r="G27" i="1" s="1"/>
  <c r="B28" i="1" s="1"/>
  <c r="C28" i="1" s="1" a="1"/>
  <c r="C28" i="1" s="1"/>
  <c r="D28" i="1" l="1"/>
  <c r="E28" i="1" s="1"/>
  <c r="G28" i="1" s="1"/>
  <c r="B29" i="1" s="1"/>
  <c r="C29" i="1" s="1" a="1"/>
  <c r="C29" i="1" s="1"/>
  <c r="D29" i="1" l="1"/>
  <c r="E29" i="1" s="1"/>
  <c r="G29" i="1" s="1"/>
  <c r="B30" i="1" s="1"/>
  <c r="C30" i="1" s="1" a="1"/>
  <c r="C30" i="1" s="1"/>
  <c r="D30" i="1" l="1"/>
  <c r="E30" i="1" s="1"/>
  <c r="G30" i="1" s="1"/>
  <c r="B31" i="1" s="1"/>
  <c r="C31" i="1" s="1" a="1"/>
  <c r="C31" i="1" s="1"/>
  <c r="D31" i="1" l="1"/>
  <c r="E31" i="1" s="1"/>
  <c r="G31" i="1" s="1"/>
  <c r="B32" i="1" s="1"/>
  <c r="C32" i="1" s="1" a="1"/>
  <c r="C32" i="1" s="1"/>
  <c r="D32" i="1" l="1"/>
  <c r="E32" i="1" l="1"/>
  <c r="G32" i="1" s="1"/>
  <c r="B33" i="1" s="1"/>
  <c r="C33" i="1" s="1" a="1"/>
  <c r="C33" i="1" s="1"/>
  <c r="D33" i="1" l="1"/>
  <c r="E33" i="1" s="1"/>
  <c r="G33" i="1" s="1"/>
  <c r="B34" i="1" s="1"/>
  <c r="C34" i="1" s="1" a="1"/>
  <c r="C34" i="1" s="1"/>
  <c r="D34" i="1" l="1"/>
  <c r="E34" i="1" l="1"/>
  <c r="G34" i="1" s="1"/>
  <c r="B35" i="1" s="1"/>
  <c r="C35" i="1" s="1" a="1"/>
  <c r="C35" i="1" s="1"/>
  <c r="D35" i="1" l="1"/>
  <c r="E35" i="1" s="1"/>
  <c r="G35" i="1" s="1"/>
  <c r="B36" i="1" s="1"/>
  <c r="C36" i="1" s="1" a="1"/>
  <c r="C36" i="1" s="1"/>
  <c r="D36" i="1" l="1"/>
  <c r="E36" i="1" l="1"/>
  <c r="G36" i="1" s="1"/>
  <c r="B37" i="1" s="1"/>
  <c r="C37" i="1" s="1" a="1"/>
  <c r="C37" i="1" s="1"/>
  <c r="D37" i="1" l="1"/>
  <c r="E37" i="1" l="1"/>
  <c r="G37" i="1" s="1"/>
  <c r="B38" i="1" s="1"/>
  <c r="C38" i="1" s="1" a="1"/>
  <c r="C38" i="1" s="1"/>
  <c r="D38" i="1" l="1"/>
  <c r="E38" i="1" l="1"/>
  <c r="G38" i="1" s="1"/>
  <c r="B39" i="1" l="1"/>
  <c r="E39" i="1" l="1"/>
  <c r="G39" i="1" s="1"/>
  <c r="B40" i="1" s="1"/>
  <c r="C40" i="1" s="1" a="1"/>
  <c r="C40" i="1" s="1"/>
  <c r="C39" i="1" a="1"/>
  <c r="C39" i="1" s="1"/>
  <c r="D39" i="1"/>
  <c r="D40" i="1" l="1"/>
  <c r="E40" i="1" s="1"/>
  <c r="G40" i="1" s="1"/>
  <c r="B41" i="1" s="1"/>
  <c r="D41" i="1" l="1"/>
  <c r="E41" i="1" s="1"/>
  <c r="G41" i="1" s="1"/>
  <c r="B42" i="1" s="1"/>
  <c r="C42" i="1" s="1" a="1"/>
  <c r="C42" i="1" s="1"/>
  <c r="C41" i="1" a="1"/>
  <c r="C41" i="1" s="1"/>
  <c r="D42" i="1" l="1"/>
  <c r="E42" i="1"/>
  <c r="G42" i="1" s="1"/>
  <c r="B43" i="1" l="1"/>
  <c r="C43" i="1" s="1" a="1"/>
  <c r="C43" i="1" s="1"/>
  <c r="E43" i="1" l="1"/>
  <c r="G43" i="1" s="1"/>
  <c r="B44" i="1" s="1"/>
  <c r="D43" i="1"/>
  <c r="E44" i="1" l="1"/>
  <c r="G44" i="1" s="1"/>
  <c r="B45" i="1" s="1"/>
  <c r="C45" i="1" s="1" a="1"/>
  <c r="C45" i="1" s="1"/>
  <c r="C44" i="1" a="1"/>
  <c r="C44" i="1" s="1"/>
  <c r="D44" i="1"/>
  <c r="D45" i="1" l="1"/>
  <c r="E45" i="1" s="1"/>
  <c r="G45" i="1" s="1"/>
  <c r="B46" i="1" s="1"/>
  <c r="C46" i="1" s="1" a="1"/>
  <c r="C46" i="1" s="1"/>
  <c r="D46" i="1" l="1"/>
  <c r="E46" i="1" s="1"/>
  <c r="G46" i="1" s="1"/>
  <c r="B47" i="1" s="1"/>
  <c r="C47" i="1" s="1" a="1"/>
  <c r="C47" i="1" s="1"/>
  <c r="E47" i="1" l="1"/>
  <c r="G47" i="1" s="1"/>
  <c r="B48" i="1" s="1"/>
  <c r="C48" i="1" s="1" a="1"/>
  <c r="C48" i="1" s="1"/>
  <c r="D47" i="1" l="1"/>
  <c r="D48" i="1"/>
  <c r="E48" i="1" l="1"/>
  <c r="G48" i="1" s="1"/>
  <c r="B49" i="1" s="1"/>
  <c r="C49" i="1" s="1" a="1"/>
  <c r="C49" i="1" s="1"/>
  <c r="D49" i="1" l="1"/>
  <c r="E49" i="1" l="1"/>
  <c r="G49" i="1" s="1"/>
  <c r="B50" i="1" s="1"/>
  <c r="C50" i="1" s="1" a="1"/>
  <c r="C50" i="1" s="1"/>
  <c r="D50" i="1" l="1"/>
  <c r="E50" i="1" s="1"/>
  <c r="G50" i="1" s="1"/>
  <c r="B51" i="1" l="1"/>
  <c r="E51" i="1" l="1"/>
  <c r="G51" i="1" s="1"/>
  <c r="B52" i="1" s="1"/>
  <c r="E52" i="1" s="1"/>
  <c r="G52" i="1" s="1"/>
  <c r="B53" i="1" s="1"/>
  <c r="C53" i="1" s="1" a="1"/>
  <c r="C53" i="1" s="1"/>
  <c r="C51" i="1" a="1"/>
  <c r="C51" i="1" s="1"/>
  <c r="D51" i="1"/>
  <c r="D52" i="1" l="1"/>
  <c r="C52" i="1" a="1"/>
  <c r="C52" i="1" s="1"/>
  <c r="D53" i="1"/>
  <c r="E53" i="1" l="1"/>
  <c r="G5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<sst xmlns="http://schemas.openxmlformats.org/spreadsheetml/2006/main" count="43" uniqueCount="42">
  <si>
    <t>Estado</t>
  </si>
  <si>
    <t>Opciones de pago para el crédito</t>
  </si>
  <si>
    <t>Cuotas mensuales iguales</t>
  </si>
  <si>
    <t>id empleado</t>
  </si>
  <si>
    <t>nombre</t>
  </si>
  <si>
    <t>Datos para el credito</t>
  </si>
  <si>
    <t>Valores</t>
  </si>
  <si>
    <t>Valor interes</t>
  </si>
  <si>
    <t>Meses (Periodos)</t>
  </si>
  <si>
    <t>Tabla amortización</t>
  </si>
  <si>
    <t>Periodos</t>
  </si>
  <si>
    <t>Valor Cuota</t>
  </si>
  <si>
    <t>Interes Cuota</t>
  </si>
  <si>
    <t>id</t>
  </si>
  <si>
    <t>Tiempo en el fondo (meses)</t>
  </si>
  <si>
    <t>Valor prestado</t>
  </si>
  <si>
    <t>forma cuotas</t>
  </si>
  <si>
    <t>Total Abono a capital</t>
  </si>
  <si>
    <t>juan</t>
  </si>
  <si>
    <t>pez</t>
  </si>
  <si>
    <t>cao</t>
  </si>
  <si>
    <t>Numero de cuotas (Meses)</t>
  </si>
  <si>
    <t>id_tipo_credito</t>
  </si>
  <si>
    <t xml:space="preserve">Tipo credito empleado </t>
  </si>
  <si>
    <t>Total a pagar</t>
  </si>
  <si>
    <t>Saldo Credito</t>
  </si>
  <si>
    <t>Abono a capital</t>
  </si>
  <si>
    <t>Aportes fondo</t>
  </si>
  <si>
    <t xml:space="preserve"> Valor de aportes más intereses</t>
  </si>
  <si>
    <t>Intereses prestamo</t>
  </si>
  <si>
    <t>Cuotas mensuales crecientes (Gradiente Geómetrico)</t>
  </si>
  <si>
    <t>Cuota 1</t>
  </si>
  <si>
    <t>Cuotas mensuales decresientes (Gradiente Aritmético)</t>
  </si>
  <si>
    <t>Cuota para Gradiente aritmetico decresiente</t>
  </si>
  <si>
    <t>Cuota para Gradiente geometrico cresiente</t>
  </si>
  <si>
    <t>Calculo intereses (Interes compuesto)</t>
  </si>
  <si>
    <t>Abono capital extra</t>
  </si>
  <si>
    <t>Valor incial del capital</t>
  </si>
  <si>
    <t>Total abonos a capital</t>
  </si>
  <si>
    <t xml:space="preserve">Saldo credito </t>
  </si>
  <si>
    <t>Valor credito</t>
  </si>
  <si>
    <t>gradiente decreiciente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</si>
</sst>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43" formatCode="_-* #,##0.00_-;\-* #,##0.00_-;_-* &quot;-&quot;??_-;_-@_-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/>
    <xf numFmtId="44" fontId="0" fillId="0" borderId="1" xfId="1" applyFont="1" applyBorder="1"/>
    <xf numFmtId="44" fontId="0" fillId="0" borderId="0" xfId="0" applyNumberFormat="1"/>
    <xf numFmtId="0" fontId="0" fillId="2" borderId="1" xfId="0" applyFill="1" applyBorder="1" applyAlignment="1">
      <alignment horizontal="center"/>
    </xf>
    <xf numFmtId="44" fontId="0" fillId="0" borderId="1" xfId="0" applyNumberFormat="1" applyBorder="1"/>
    <xf numFmtId="0" fontId="0" fillId="3" borderId="1" xfId="0" applyFill="1" applyBorder="1"/>
    <xf numFmtId="0" fontId="0" fillId="0" borderId="2" xfId="0" applyBorder="1"/>
    <xf numFmtId="44" fontId="0" fillId="3" borderId="1" xfId="0" applyNumberFormat="1" applyFill="1" applyBorder="1"/>
    <xf numFmtId="44" fontId="0" fillId="0" borderId="4" xfId="1" applyFont="1" applyBorder="1"/>
    <xf numFmtId="10" fontId="0" fillId="0" borderId="1" xfId="0" applyNumberFormat="1" applyBorder="1"/>
    <xf numFmtId="44" fontId="0" fillId="0" borderId="1" xfId="1" applyFont="1" applyBorder="1" applyAlignment="1">
      <alignment horizontal="center"/>
    </xf>
    <xf numFmtId="44" fontId="0" fillId="0" borderId="0" xfId="1" applyFont="1"/>
    <xf numFmtId="0" fontId="0" fillId="0" borderId="0" xfId="0" applyAlignment="1">
      <alignment horizontal="center"/>
    </xf>
    <xf numFmtId="2" fontId="0" fillId="0" borderId="0" xfId="0" applyNumberFormat="1"/>
    <xf numFmtId="2" fontId="0" fillId="2" borderId="1" xfId="0" applyNumberFormat="1" applyFill="1" applyBorder="1"/>
    <xf numFmtId="1" fontId="0" fillId="0" borderId="1" xfId="1" applyNumberFormat="1" applyFont="1" applyBorder="1"/>
    <xf numFmtId="0" fontId="3" fillId="5" borderId="7" xfId="0" applyFont="1" applyFill="1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4" borderId="7" xfId="0" applyFill="1" applyBorder="1">
      <extLst>
        <ext xmlns:xfpb="http://schemas.microsoft.com/office/spreadsheetml/2022/featurepropertybag" uri="{C7286773-470A-42A8-94C5-96B5CB345126}">
          <xfpb:xfComplement i="0"/>
        </ext>
      </extLst>
    </xf>
    <xf numFmtId="1" fontId="0" fillId="0" borderId="0" xfId="1" applyNumberFormat="1" applyFont="1"/>
    <xf numFmtId="0" fontId="0" fillId="2" borderId="3" xfId="0" applyFill="1" applyBorder="1" applyAlignment="1">
      <alignment horizontal="center"/>
    </xf>
    <xf numFmtId="43" fontId="0" fillId="0" borderId="0" xfId="0" applyNumberFormat="1"/>
    <xf numFmtId="0" fontId="0" fillId="0" borderId="8" xfId="0" applyBorder="1"/>
    <xf numFmtId="0" fontId="0" fillId="2" borderId="9" xfId="0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44" fontId="0" fillId="0" borderId="0" xfId="1" applyFont="1" applyAlignment="1">
      <alignment vertical="center"/>
    </xf>
    <xf numFmtId="1" fontId="0" fillId="0" borderId="0" xfId="1" applyNumberFormat="1" applyFont="1" applyAlignment="1">
      <alignment vertical="center"/>
    </xf>
    <xf numFmtId="1" fontId="0" fillId="0" borderId="0" xfId="0" applyNumberFormat="1"/>
    <xf numFmtId="1" fontId="0" fillId="0" borderId="0" xfId="0" applyNumberFormat="1" applyAlignment="1">
      <alignment vertical="center"/>
    </xf>
    <xf numFmtId="0" fontId="2" fillId="0" borderId="0" xfId="0" applyFont="1" applyAlignment="1">
      <alignment horizontal="center"/>
    </xf>
    <xf numFmtId="44" fontId="0" fillId="0" borderId="0" xfId="1" applyFont="1" applyFill="1" applyBorder="1"/>
    <xf numFmtId="1" fontId="0" fillId="0" borderId="0" xfId="1" applyNumberFormat="1" applyFont="1" applyFill="1" applyBorder="1"/>
    <xf numFmtId="0" fontId="0" fillId="3" borderId="1" xfId="0" applyFill="1" applyBorder="1" applyAlignment="1">
      <alignment vertical="center"/>
    </xf>
    <xf numFmtId="0" fontId="0" fillId="2" borderId="0" xfId="0" applyFill="1" applyBorder="1" applyAlignment="1">
      <alignment horizontal="center"/>
    </xf>
    <xf numFmtId="44" fontId="0" fillId="6" borderId="10" xfId="0" applyNumberFormat="1" applyFill="1" applyBorder="1" applyAlignment="1">
      <alignment horizontal="center"/>
    </xf>
    <xf numFmtId="44" fontId="0" fillId="0" borderId="10" xfId="1" applyFont="1" applyBorder="1"/>
    <xf numFmtId="0" fontId="0" fillId="2" borderId="3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44" fontId="0" fillId="0" borderId="3" xfId="1" applyFont="1" applyBorder="1"/>
    <xf numFmtId="44" fontId="0" fillId="0" borderId="0" xfId="0" applyNumberFormat="1" applyFill="1" applyBorder="1"/>
    <xf numFmtId="44" fontId="0" fillId="0" borderId="1" xfId="0" applyNumberFormat="1" applyFill="1" applyBorder="1"/>
  </cellXfs>
  <cellStyles count="2">
    <cellStyle name="Moneda" xfId="1" builtinId="4"/>
    <cellStyle name="Normal" xfId="0" builtinId="0"/>
  </cellStyles>
  <dxfs count="9"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\ * #,##0.00_-;\-&quot;$&quot;\ * #,##0.00_-;_-&quot;$&quot;\ 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microsoft.com/office/2022/11/relationships/FeaturePropertyBag" Target="featurePropertyBag/featurePropertyBag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11206</xdr:colOff>
      <xdr:row>27</xdr:row>
      <xdr:rowOff>78441</xdr:rowOff>
    </xdr:from>
    <xdr:to>
      <xdr:col>10</xdr:col>
      <xdr:colOff>1260602</xdr:colOff>
      <xdr:row>30</xdr:row>
      <xdr:rowOff>107100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E964E57-FCC2-4CB2-1422-CDE0AB02D9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64588" y="5221941"/>
          <a:ext cx="3591426" cy="600159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33</xdr:row>
      <xdr:rowOff>0</xdr:rowOff>
    </xdr:from>
    <xdr:to>
      <xdr:col>9</xdr:col>
      <xdr:colOff>1338306</xdr:colOff>
      <xdr:row>38</xdr:row>
      <xdr:rowOff>123975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3CA1A6D-BD76-C130-EFC5-FB3B4F9861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53382" y="6286500"/>
          <a:ext cx="2324424" cy="10764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14</xdr:row>
      <xdr:rowOff>0</xdr:rowOff>
    </xdr:from>
    <xdr:to>
      <xdr:col>7</xdr:col>
      <xdr:colOff>562383</xdr:colOff>
      <xdr:row>18</xdr:row>
      <xdr:rowOff>47738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366118C-7697-E69F-5EEC-60916431F9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10575" y="2667000"/>
          <a:ext cx="2924583" cy="809738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FD0A8E0-C265-4088-B52D-77BF20EA6531}" name="Tabla2" displayName="Tabla2" ref="A1:I5" totalsRowShown="0">
  <autoFilter ref="A1:I5" xr:uid="{CFD0A8E0-C265-4088-B52D-77BF20EA6531}"/>
  <tableColumns count="9">
    <tableColumn id="1" xr3:uid="{C10E52DE-AF8D-4684-983C-55348B43CBFB}" name="id" dataDxfId="8"/>
    <tableColumn id="2" xr3:uid="{5CDC16FB-DDE2-475C-9E17-EFDB1249AFCC}" name="nombre" dataDxfId="7"/>
    <tableColumn id="3" xr3:uid="{DD4125E4-DCA4-4042-8C84-5CA4F3888A49}" name="Aportes fondo"/>
    <tableColumn id="7" xr3:uid="{B1DE8810-1C5A-48BC-A322-48682A3DA285}" name="Tiempo en el fondo (meses)" dataDxfId="6"/>
    <tableColumn id="4" xr3:uid="{609F3663-7A6C-47D8-B974-9ED73408A2EA}" name="Valor prestado"/>
    <tableColumn id="5" xr3:uid="{2F0EB999-AE72-41C0-BD53-B90598749F12}" name="Numero de cuotas (Meses)" dataDxfId="5" dataCellStyle="Moneda"/>
    <tableColumn id="8" xr3:uid="{B5AD1DBD-51BD-4C27-9282-8DCFB77DFFA0}" name=" Valor de aportes más intereses" dataDxfId="4">
      <calculatedColumnFormula>Tabla2[[#This Row],[Valor prestado]]*4%</calculatedColumnFormula>
    </tableColumn>
    <tableColumn id="6" xr3:uid="{706DA688-C8B5-47C4-B383-D5A755C9C7E9}" name="forma cuotas" dataDxfId="3">
      <calculatedColumnFormula>IF(Créditos!D3,"Cuotas Mensuales",IF(Créditos!D4,"Gradiente Aritmético",IF(Créditos!D5,"Gradiente Geomético","Indicar")))</calculatedColumnFormula>
    </tableColumn>
    <tableColumn id="10" xr3:uid="{205A6085-5B75-4260-97C7-2C020B4E9127}" name="Total Abono a capital">
      <calculatedColumnFormula>IF(Créditos!$A$6=Tabla2[[#This Row],[id]],Créditos!$K$23,)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9E703-5590-4EAE-9054-F4B2B692275D}">
  <sheetPr codeName="Hoja1"/>
  <dimension ref="A2:L53"/>
  <sheetViews>
    <sheetView tabSelected="1" zoomScale="85" zoomScaleNormal="85" workbookViewId="0">
      <selection activeCell="F18" sqref="F18"/>
    </sheetView>
  </sheetViews>
  <sheetFormatPr baseColWidth="10" defaultColWidth="11.42578125" defaultRowHeight="15" x14ac:dyDescent="0.25"/>
  <cols>
    <col min="1" max="1" width="30.42578125" style="15" bestFit="1" customWidth="1"/>
    <col min="2" max="2" width="16" customWidth="1"/>
    <col min="3" max="3" width="18.85546875" customWidth="1"/>
    <col min="4" max="4" width="15.7109375" customWidth="1"/>
    <col min="5" max="5" width="21.140625" customWidth="1"/>
    <col min="6" max="6" width="17.7109375" customWidth="1"/>
    <col min="7" max="7" width="15.140625" customWidth="1"/>
    <col min="8" max="8" width="20.5703125" customWidth="1"/>
    <col min="9" max="9" width="14.85546875" customWidth="1"/>
    <col min="10" max="10" width="20.28515625" customWidth="1"/>
    <col min="11" max="11" width="20.7109375" customWidth="1"/>
  </cols>
  <sheetData>
    <row r="2" spans="1:12" x14ac:dyDescent="0.25">
      <c r="D2" s="18" t="s">
        <v>0</v>
      </c>
      <c r="E2" s="43" t="s">
        <v>1</v>
      </c>
      <c r="F2" s="43"/>
      <c r="G2" s="43"/>
      <c r="H2" s="25" t="s">
        <v>22</v>
      </c>
      <c r="I2" s="33"/>
      <c r="J2" s="7" t="s">
        <v>23</v>
      </c>
      <c r="K2" s="1">
        <f>VLOOKUP(A6,Empleados!A:I,8,)</f>
        <v>3</v>
      </c>
    </row>
    <row r="3" spans="1:12" x14ac:dyDescent="0.25">
      <c r="D3" s="19" t="b">
        <f>IF(H3=$K$2,TRUE,FALSE)</f>
        <v>0</v>
      </c>
      <c r="E3" s="44" t="s">
        <v>2</v>
      </c>
      <c r="F3" s="44"/>
      <c r="G3" s="44"/>
      <c r="H3" s="26">
        <v>1</v>
      </c>
      <c r="I3" s="14"/>
    </row>
    <row r="4" spans="1:12" x14ac:dyDescent="0.25">
      <c r="D4" s="19" t="b">
        <f t="shared" ref="D4:D5" si="0">IF(H4=$K$2,TRUE,FALSE)</f>
        <v>0</v>
      </c>
      <c r="E4" s="44" t="s">
        <v>30</v>
      </c>
      <c r="F4" s="44"/>
      <c r="G4" s="44"/>
      <c r="H4" s="26">
        <v>2</v>
      </c>
      <c r="I4" s="14"/>
    </row>
    <row r="5" spans="1:12" x14ac:dyDescent="0.25">
      <c r="A5" s="16" t="s">
        <v>3</v>
      </c>
      <c r="B5" s="2" t="s">
        <v>4</v>
      </c>
      <c r="D5" s="19" t="b">
        <f t="shared" si="0"/>
        <v>1</v>
      </c>
      <c r="E5" s="44" t="s">
        <v>32</v>
      </c>
      <c r="F5" s="44"/>
      <c r="G5" s="44"/>
      <c r="H5" s="26">
        <v>3</v>
      </c>
      <c r="I5" s="14"/>
    </row>
    <row r="6" spans="1:12" x14ac:dyDescent="0.25">
      <c r="A6" s="17">
        <v>3</v>
      </c>
      <c r="B6" s="1" t="str">
        <f>VLOOKUP(A6,Empleados!A:G,2)</f>
        <v>cao</v>
      </c>
    </row>
    <row r="7" spans="1:12" x14ac:dyDescent="0.25">
      <c r="E7" s="2" t="s">
        <v>5</v>
      </c>
      <c r="F7" s="2" t="s">
        <v>6</v>
      </c>
      <c r="J7" s="7" t="s">
        <v>39</v>
      </c>
      <c r="K7" s="12">
        <f>K8-K23</f>
        <v>4000000</v>
      </c>
    </row>
    <row r="8" spans="1:12" x14ac:dyDescent="0.25">
      <c r="E8" s="2" t="s">
        <v>7</v>
      </c>
      <c r="F8" s="11" cm="1">
        <f t="array" ref="F8">_xlfn.IFS(K2=1,3%,K2=2,2%,K2=3,3.5%)</f>
        <v>3.5000000000000003E-2</v>
      </c>
      <c r="J8" s="1" t="s">
        <v>40</v>
      </c>
      <c r="K8" s="3">
        <f>VLOOKUP(A6,Empleados!A:G,5)</f>
        <v>4000000</v>
      </c>
    </row>
    <row r="9" spans="1:12" x14ac:dyDescent="0.25">
      <c r="E9" s="2" t="str">
        <f>IF(D3,"N/A","Gradiente")</f>
        <v>Gradiente</v>
      </c>
      <c r="F9" s="11">
        <f>IF(D3,0,IF($K$2=2,3%,1%))</f>
        <v>0.01</v>
      </c>
      <c r="K9" s="4"/>
    </row>
    <row r="10" spans="1:12" x14ac:dyDescent="0.25">
      <c r="E10" s="2" t="s">
        <v>8</v>
      </c>
      <c r="F10" s="1">
        <f>VLOOKUP(A6,Empleados!A:G,6)</f>
        <v>12</v>
      </c>
      <c r="G10" s="8"/>
      <c r="I10" s="23"/>
      <c r="J10" s="36" t="s">
        <v>24</v>
      </c>
      <c r="K10" s="6">
        <f>$K$7*POWER(1+F8,$F$10)</f>
        <v>6044274.6293854415</v>
      </c>
      <c r="L10" s="8"/>
    </row>
    <row r="11" spans="1:12" x14ac:dyDescent="0.25">
      <c r="C11" s="4"/>
      <c r="J11" s="28"/>
    </row>
    <row r="12" spans="1:12" x14ac:dyDescent="0.25">
      <c r="C12" s="22"/>
    </row>
    <row r="13" spans="1:12" x14ac:dyDescent="0.25">
      <c r="J13" s="9" t="s">
        <v>29</v>
      </c>
      <c r="K13" s="6">
        <f>K10-K7</f>
        <v>2044274.6293854415</v>
      </c>
    </row>
    <row r="15" spans="1:12" x14ac:dyDescent="0.25">
      <c r="B15" s="40" t="s">
        <v>9</v>
      </c>
      <c r="C15" s="41"/>
      <c r="D15" s="41"/>
      <c r="E15" s="41"/>
      <c r="F15" s="42"/>
      <c r="J15" s="1" t="s">
        <v>31</v>
      </c>
      <c r="K15" s="3" cm="1">
        <f t="array" ref="K15">_xlfn.IFS(K2=1,K10/F10,K2=2,K7*((F8+F9)/(1-((1-F9)/(1+F8))^(F10))),K2=3,K7*(F8/(1-(1+F8)^(-F10)))+$K$20*((1/F8)-(F10/((1+F8)^(F10)-1))))</f>
        <v>617584.49286644696</v>
      </c>
    </row>
    <row r="16" spans="1:12" x14ac:dyDescent="0.25">
      <c r="B16" s="5" t="s">
        <v>10</v>
      </c>
      <c r="C16" s="5" t="s">
        <v>11</v>
      </c>
      <c r="D16" s="5" t="s">
        <v>12</v>
      </c>
      <c r="E16" s="21" t="s">
        <v>26</v>
      </c>
      <c r="F16" s="37" t="s">
        <v>36</v>
      </c>
      <c r="G16" s="24" t="s">
        <v>25</v>
      </c>
      <c r="I16" s="14"/>
      <c r="J16" s="26"/>
      <c r="K16" s="12"/>
    </row>
    <row r="17" spans="2:12" x14ac:dyDescent="0.25">
      <c r="B17" s="40" t="s">
        <v>37</v>
      </c>
      <c r="C17" s="41"/>
      <c r="D17" s="41"/>
      <c r="E17" s="41"/>
      <c r="F17" s="42"/>
      <c r="G17" s="38">
        <f>K7</f>
        <v>4000000</v>
      </c>
      <c r="J17" s="14"/>
      <c r="K17" s="14"/>
    </row>
    <row r="18" spans="2:12" x14ac:dyDescent="0.25">
      <c r="B18" s="1">
        <v>1</v>
      </c>
      <c r="C18" s="6">
        <f>$K$15</f>
        <v>617584.49286644696</v>
      </c>
      <c r="D18" s="3">
        <f>IF(ISNUMBER(B18),IF($K$2=1,$K$13/$F$10,G17*$F$8),"")</f>
        <v>140000</v>
      </c>
      <c r="E18" s="45">
        <f>IF(ISNUMBER(B18),C18-D18,"")</f>
        <v>477584.49286644696</v>
      </c>
      <c r="F18" s="3"/>
      <c r="G18" s="39">
        <f>IF(ISNUMBER(B18),G17-(E18+F18),"")</f>
        <v>3522415.5071335528</v>
      </c>
      <c r="H18" s="22"/>
      <c r="I18" s="22"/>
      <c r="J18" s="4"/>
      <c r="K18" s="4"/>
    </row>
    <row r="19" spans="2:12" x14ac:dyDescent="0.25">
      <c r="B19" s="1">
        <f>IF(G18&lt;=0,"",IF(B18=$F$10,"", B18+1))</f>
        <v>2</v>
      </c>
      <c r="C19" s="6" cm="1">
        <f t="array" ref="C19">IF(ISNUMBER(B19),_xlfn.IFS($K$2=1,$K$10/$F$10,$K$2=2,C18*(1-$F$9),$K$2=3,C18-$K$20),"")</f>
        <v>577584.49286644696</v>
      </c>
      <c r="D19" s="3">
        <f t="shared" ref="D19:D53" si="1">IF(ISNUMBER(B19),IF($K$2=1,$K$13/$F$10,G18*$F$8),"")</f>
        <v>123284.54274967437</v>
      </c>
      <c r="E19" s="45">
        <f t="shared" ref="E19:E53" si="2">IF(ISNUMBER(B19),C19-D19,"")</f>
        <v>454299.95011677261</v>
      </c>
      <c r="F19" s="3"/>
      <c r="G19" s="39">
        <f t="shared" ref="G19:G53" si="3">IF(ISNUMBER(B19),G18-(E19+F19),"")</f>
        <v>3068115.5570167801</v>
      </c>
      <c r="H19" s="22"/>
      <c r="I19" s="22"/>
    </row>
    <row r="20" spans="2:12" x14ac:dyDescent="0.25">
      <c r="B20" s="1">
        <f t="shared" ref="B20:B53" si="4">IF(G19&lt;=0,"",IF(B19=$F$10,"", B19+1))</f>
        <v>3</v>
      </c>
      <c r="C20" s="6" cm="1">
        <f t="array" ref="C20">IF(ISNUMBER(B20),_xlfn.IFS($K$2=1,$K$10/$F$10,$K$2=2,C19*(1-$F$9),$K$2=3,C19-$K$20),"")</f>
        <v>537584.49286644696</v>
      </c>
      <c r="D20" s="3">
        <f t="shared" si="1"/>
        <v>107384.04449558731</v>
      </c>
      <c r="E20" s="45">
        <f t="shared" si="2"/>
        <v>430200.44837085967</v>
      </c>
      <c r="F20" s="3"/>
      <c r="G20" s="39">
        <f t="shared" si="3"/>
        <v>2637915.1086459206</v>
      </c>
      <c r="H20" s="22"/>
      <c r="I20" s="22"/>
      <c r="J20" s="1" t="s">
        <v>41</v>
      </c>
      <c r="K20" s="47">
        <f>F9*K8</f>
        <v>40000</v>
      </c>
      <c r="L20" s="46"/>
    </row>
    <row r="21" spans="2:12" x14ac:dyDescent="0.25">
      <c r="B21" s="1">
        <f t="shared" si="4"/>
        <v>4</v>
      </c>
      <c r="C21" s="6" cm="1">
        <f t="array" ref="C21">IF(ISNUMBER(B21),_xlfn.IFS($K$2=1,$K$10/$F$10,$K$2=2,C20*(1-$F$9),$K$2=3,C20-$K$20),"")</f>
        <v>497584.49286644696</v>
      </c>
      <c r="D21" s="3">
        <f t="shared" si="1"/>
        <v>92327.028802607238</v>
      </c>
      <c r="E21" s="45">
        <f t="shared" si="2"/>
        <v>405257.46406383975</v>
      </c>
      <c r="F21" s="3"/>
      <c r="G21" s="39">
        <f t="shared" si="3"/>
        <v>2232657.6445820807</v>
      </c>
      <c r="H21" s="22"/>
      <c r="I21" s="22"/>
      <c r="J21" s="4"/>
      <c r="K21" s="46"/>
      <c r="L21" s="46"/>
    </row>
    <row r="22" spans="2:12" x14ac:dyDescent="0.25">
      <c r="B22" s="1">
        <f t="shared" si="4"/>
        <v>5</v>
      </c>
      <c r="C22" s="6" cm="1">
        <f t="array" ref="C22">IF(ISNUMBER(B22),_xlfn.IFS($K$2=1,$K$10/$F$10,$K$2=2,C21*(1-$F$9),$K$2=3,C21-$K$20),"")</f>
        <v>457584.49286644696</v>
      </c>
      <c r="D22" s="3">
        <f t="shared" si="1"/>
        <v>78143.017560372828</v>
      </c>
      <c r="E22" s="45">
        <f t="shared" si="2"/>
        <v>379441.47530607414</v>
      </c>
      <c r="F22" s="3"/>
      <c r="G22" s="39">
        <f t="shared" si="3"/>
        <v>1853216.1692760065</v>
      </c>
      <c r="H22" s="22"/>
      <c r="I22" s="22"/>
      <c r="J22" s="4"/>
      <c r="K22" s="4"/>
    </row>
    <row r="23" spans="2:12" x14ac:dyDescent="0.25">
      <c r="B23" s="1">
        <f t="shared" si="4"/>
        <v>6</v>
      </c>
      <c r="C23" s="6" cm="1">
        <f t="array" ref="C23">IF(ISNUMBER(B23),_xlfn.IFS($K$2=1,$K$10/$F$10,$K$2=2,C22*(1-$F$9),$K$2=3,C22-$K$20),"")</f>
        <v>417584.49286644696</v>
      </c>
      <c r="D23" s="3">
        <f t="shared" si="1"/>
        <v>64862.565924660237</v>
      </c>
      <c r="E23" s="45">
        <f t="shared" si="2"/>
        <v>352721.92694178672</v>
      </c>
      <c r="F23" s="3"/>
      <c r="G23" s="39">
        <f t="shared" si="3"/>
        <v>1500494.2423342199</v>
      </c>
      <c r="H23" s="22"/>
      <c r="I23" s="22"/>
      <c r="J23" s="9" t="s">
        <v>38</v>
      </c>
      <c r="K23" s="6">
        <f>SUM(F18:F53)</f>
        <v>0</v>
      </c>
    </row>
    <row r="24" spans="2:12" x14ac:dyDescent="0.25">
      <c r="B24" s="1">
        <f t="shared" si="4"/>
        <v>7</v>
      </c>
      <c r="C24" s="6" cm="1">
        <f t="array" ref="C24">IF(ISNUMBER(B24),_xlfn.IFS($K$2=1,$K$10/$F$10,$K$2=2,C23*(1-$F$9),$K$2=3,C23-$K$20),"")</f>
        <v>377584.49286644696</v>
      </c>
      <c r="D24" s="3">
        <f t="shared" si="1"/>
        <v>52517.298481697697</v>
      </c>
      <c r="E24" s="45">
        <f t="shared" si="2"/>
        <v>325067.19438474928</v>
      </c>
      <c r="F24" s="3"/>
      <c r="G24" s="39">
        <f t="shared" si="3"/>
        <v>1175427.0479494706</v>
      </c>
      <c r="H24" s="22"/>
      <c r="I24" s="14"/>
      <c r="J24" s="4"/>
      <c r="K24" s="4"/>
    </row>
    <row r="25" spans="2:12" x14ac:dyDescent="0.25">
      <c r="B25" s="1">
        <f t="shared" si="4"/>
        <v>8</v>
      </c>
      <c r="C25" s="6" cm="1">
        <f t="array" ref="C25">IF(ISNUMBER(B25),_xlfn.IFS($K$2=1,$K$10/$F$10,$K$2=2,C24*(1-$F$9),$K$2=3,C24-$K$20),"")</f>
        <v>337584.49286644696</v>
      </c>
      <c r="D25" s="3">
        <f t="shared" si="1"/>
        <v>41139.946678231478</v>
      </c>
      <c r="E25" s="45">
        <f t="shared" si="2"/>
        <v>296444.54618821549</v>
      </c>
      <c r="F25" s="3"/>
      <c r="G25" s="39">
        <f t="shared" si="3"/>
        <v>878982.50176125509</v>
      </c>
      <c r="H25" s="22"/>
      <c r="I25" s="22"/>
      <c r="J25" s="4"/>
      <c r="K25" s="4"/>
    </row>
    <row r="26" spans="2:12" x14ac:dyDescent="0.25">
      <c r="B26" s="1">
        <f t="shared" si="4"/>
        <v>9</v>
      </c>
      <c r="C26" s="6" cm="1">
        <f t="array" ref="C26">IF(ISNUMBER(B26),_xlfn.IFS($K$2=1,$K$10/$F$10,$K$2=2,C25*(1-$F$9),$K$2=3,C25-$K$20),"")</f>
        <v>297584.49286644696</v>
      </c>
      <c r="D26" s="3">
        <f t="shared" si="1"/>
        <v>30764.387561643933</v>
      </c>
      <c r="E26" s="45">
        <f t="shared" si="2"/>
        <v>266820.105304803</v>
      </c>
      <c r="F26" s="3"/>
      <c r="G26" s="39">
        <f t="shared" si="3"/>
        <v>612162.39645645209</v>
      </c>
      <c r="H26" s="22"/>
      <c r="I26" s="22"/>
      <c r="J26" s="4"/>
      <c r="K26" s="4"/>
    </row>
    <row r="27" spans="2:12" x14ac:dyDescent="0.25">
      <c r="B27" s="1">
        <f t="shared" si="4"/>
        <v>10</v>
      </c>
      <c r="C27" s="6" cm="1">
        <f t="array" ref="C27">IF(ISNUMBER(B27),_xlfn.IFS($K$2=1,$K$10/$F$10,$K$2=2,C26*(1-$F$9),$K$2=3,C26-$K$20),"")</f>
        <v>257584.49286644696</v>
      </c>
      <c r="D27" s="3">
        <f t="shared" si="1"/>
        <v>21425.683875975825</v>
      </c>
      <c r="E27" s="45">
        <f t="shared" si="2"/>
        <v>236158.80899047112</v>
      </c>
      <c r="F27" s="3"/>
      <c r="G27" s="39">
        <f t="shared" si="3"/>
        <v>376003.58746598096</v>
      </c>
      <c r="H27" s="22"/>
      <c r="I27" s="22" t="s">
        <v>33</v>
      </c>
      <c r="J27" s="4"/>
      <c r="K27" s="4"/>
    </row>
    <row r="28" spans="2:12" x14ac:dyDescent="0.25">
      <c r="B28" s="1">
        <f t="shared" si="4"/>
        <v>11</v>
      </c>
      <c r="C28" s="6" cm="1">
        <f t="array" ref="C28">IF(ISNUMBER(B28),_xlfn.IFS($K$2=1,$K$10/$F$10,$K$2=2,C27*(1-$F$9),$K$2=3,C27-$K$20),"")</f>
        <v>217584.49286644696</v>
      </c>
      <c r="D28" s="3">
        <f t="shared" si="1"/>
        <v>13160.125561309334</v>
      </c>
      <c r="E28" s="45">
        <f t="shared" si="2"/>
        <v>204424.36730513762</v>
      </c>
      <c r="F28" s="3"/>
      <c r="G28" s="39">
        <f t="shared" si="3"/>
        <v>171579.22016084334</v>
      </c>
      <c r="H28" s="22"/>
      <c r="I28" s="22"/>
      <c r="J28" s="4"/>
      <c r="K28" s="4"/>
    </row>
    <row r="29" spans="2:12" x14ac:dyDescent="0.25">
      <c r="B29" s="1">
        <f t="shared" si="4"/>
        <v>12</v>
      </c>
      <c r="C29" s="6" cm="1">
        <f t="array" ref="C29">IF(ISNUMBER(B29),_xlfn.IFS($K$2=1,$K$10/$F$10,$K$2=2,C28*(1-$F$9),$K$2=3,C28-$K$20),"")</f>
        <v>177584.49286644696</v>
      </c>
      <c r="D29" s="3">
        <f t="shared" si="1"/>
        <v>6005.2727056295171</v>
      </c>
      <c r="E29" s="45">
        <f t="shared" si="2"/>
        <v>171579.22016081744</v>
      </c>
      <c r="F29" s="3"/>
      <c r="G29" s="39">
        <f t="shared" si="3"/>
        <v>2.5902409106492996E-8</v>
      </c>
      <c r="H29" s="22"/>
      <c r="I29" s="22"/>
      <c r="J29" s="4"/>
      <c r="K29" s="4"/>
    </row>
    <row r="30" spans="2:12" x14ac:dyDescent="0.25">
      <c r="B30" s="1" t="str">
        <f t="shared" si="4"/>
        <v/>
      </c>
      <c r="C30" s="6" t="str" cm="1">
        <f t="array" ref="C30">IF(ISNUMBER(B30),_xlfn.IFS($K$2=1,$K$10/$F$10,$K$2=2,C29*(1-$F$9),$K$2=3,C29-$K$20),"")</f>
        <v/>
      </c>
      <c r="D30" s="3" t="str">
        <f t="shared" si="1"/>
        <v/>
      </c>
      <c r="E30" s="45" t="str">
        <f t="shared" si="2"/>
        <v/>
      </c>
      <c r="F30" s="3"/>
      <c r="G30" s="39" t="str">
        <f t="shared" si="3"/>
        <v/>
      </c>
      <c r="H30" s="22"/>
      <c r="I30" s="22"/>
      <c r="J30" s="4"/>
      <c r="K30" s="4"/>
    </row>
    <row r="31" spans="2:12" x14ac:dyDescent="0.25">
      <c r="B31" s="1" t="e">
        <f t="shared" si="4"/>
        <v>#VALUE!</v>
      </c>
      <c r="C31" s="6" t="str" cm="1">
        <f t="array" ref="C31">IF(ISNUMBER(B31),_xlfn.IFS($K$2=1,$K$10/$F$10,$K$2=2,C30*(1-$F$9),$K$2=3,C30-$K$20),"")</f>
        <v/>
      </c>
      <c r="D31" s="3" t="str">
        <f t="shared" si="1"/>
        <v/>
      </c>
      <c r="E31" s="45" t="str">
        <f t="shared" si="2"/>
        <v/>
      </c>
      <c r="F31" s="3"/>
      <c r="G31" s="39" t="str">
        <f t="shared" si="3"/>
        <v/>
      </c>
      <c r="H31" s="22"/>
      <c r="I31" s="22"/>
      <c r="J31" s="4"/>
      <c r="K31" s="4"/>
    </row>
    <row r="32" spans="2:12" x14ac:dyDescent="0.25">
      <c r="B32" s="1" t="e">
        <f t="shared" si="4"/>
        <v>#VALUE!</v>
      </c>
      <c r="C32" s="6" t="str" cm="1">
        <f t="array" ref="C32">IF(ISNUMBER(B32),_xlfn.IFS($K$2=1,$K$10/$F$10,$K$2=2,C31*(1-$F$9),$K$2=3,C31-$K$20),"")</f>
        <v/>
      </c>
      <c r="D32" s="3" t="str">
        <f t="shared" si="1"/>
        <v/>
      </c>
      <c r="E32" s="45" t="str">
        <f t="shared" si="2"/>
        <v/>
      </c>
      <c r="F32" s="3"/>
      <c r="G32" s="39" t="str">
        <f t="shared" si="3"/>
        <v/>
      </c>
      <c r="H32" s="22"/>
      <c r="I32" s="22"/>
      <c r="J32" s="4"/>
      <c r="K32" s="4"/>
    </row>
    <row r="33" spans="2:11" x14ac:dyDescent="0.25">
      <c r="B33" s="1" t="e">
        <f t="shared" si="4"/>
        <v>#VALUE!</v>
      </c>
      <c r="C33" s="6" t="str" cm="1">
        <f t="array" ref="C33">IF(ISNUMBER(B33),_xlfn.IFS($K$2=1,$K$10/$F$10,$K$2=2,C32*(1-$F$9),$K$2=3,C32-$K$20),"")</f>
        <v/>
      </c>
      <c r="D33" s="3" t="str">
        <f t="shared" si="1"/>
        <v/>
      </c>
      <c r="E33" s="45" t="str">
        <f t="shared" si="2"/>
        <v/>
      </c>
      <c r="F33" s="3"/>
      <c r="G33" s="39" t="str">
        <f t="shared" si="3"/>
        <v/>
      </c>
      <c r="H33" s="22"/>
      <c r="I33" s="22" t="s">
        <v>34</v>
      </c>
      <c r="J33" s="4"/>
      <c r="K33" s="4"/>
    </row>
    <row r="34" spans="2:11" x14ac:dyDescent="0.25">
      <c r="B34" s="1" t="e">
        <f t="shared" si="4"/>
        <v>#VALUE!</v>
      </c>
      <c r="C34" s="6" t="str" cm="1">
        <f t="array" ref="C34">IF(ISNUMBER(B34),_xlfn.IFS($K$2=1,$K$10/$F$10,$K$2=2,C33*(1-$F$9),$K$2=3,C33-$K$20),"")</f>
        <v/>
      </c>
      <c r="D34" s="3" t="str">
        <f t="shared" si="1"/>
        <v/>
      </c>
      <c r="E34" s="45" t="str">
        <f t="shared" si="2"/>
        <v/>
      </c>
      <c r="F34" s="3"/>
      <c r="G34" s="39" t="str">
        <f t="shared" si="3"/>
        <v/>
      </c>
      <c r="H34" s="22"/>
      <c r="I34" s="22"/>
      <c r="J34" s="4"/>
      <c r="K34" s="4"/>
    </row>
    <row r="35" spans="2:11" x14ac:dyDescent="0.25">
      <c r="B35" s="1" t="e">
        <f t="shared" si="4"/>
        <v>#VALUE!</v>
      </c>
      <c r="C35" s="6" t="str" cm="1">
        <f t="array" ref="C35">IF(ISNUMBER(B35),_xlfn.IFS($K$2=1,$K$10/$F$10,$K$2=2,C34*(1-$F$9),$K$2=3,C34-$K$20),"")</f>
        <v/>
      </c>
      <c r="D35" s="3" t="str">
        <f t="shared" si="1"/>
        <v/>
      </c>
      <c r="E35" s="45" t="str">
        <f t="shared" si="2"/>
        <v/>
      </c>
      <c r="F35" s="3"/>
      <c r="G35" s="39" t="str">
        <f t="shared" si="3"/>
        <v/>
      </c>
      <c r="H35" s="22"/>
      <c r="I35" s="22"/>
      <c r="J35" s="4"/>
      <c r="K35" s="4"/>
    </row>
    <row r="36" spans="2:11" x14ac:dyDescent="0.25">
      <c r="B36" s="1" t="e">
        <f t="shared" si="4"/>
        <v>#VALUE!</v>
      </c>
      <c r="C36" s="6" t="str" cm="1">
        <f t="array" ref="C36">IF(ISNUMBER(B36),_xlfn.IFS($K$2=1,$K$10/$F$10,$K$2=2,C35*(1-$F$9),$K$2=3,C35-$K$20),"")</f>
        <v/>
      </c>
      <c r="D36" s="3" t="str">
        <f t="shared" si="1"/>
        <v/>
      </c>
      <c r="E36" s="45" t="str">
        <f t="shared" si="2"/>
        <v/>
      </c>
      <c r="F36" s="3"/>
      <c r="G36" s="39" t="str">
        <f t="shared" si="3"/>
        <v/>
      </c>
      <c r="H36" s="22"/>
      <c r="I36" s="22"/>
      <c r="J36" s="4"/>
      <c r="K36" s="4"/>
    </row>
    <row r="37" spans="2:11" x14ac:dyDescent="0.25">
      <c r="B37" s="1" t="e">
        <f t="shared" si="4"/>
        <v>#VALUE!</v>
      </c>
      <c r="C37" s="6" t="str" cm="1">
        <f t="array" ref="C37">IF(ISNUMBER(B37),_xlfn.IFS($K$2=1,$K$10/$F$10,$K$2=2,C36*(1-$F$9),$K$2=3,C36-$K$20),"")</f>
        <v/>
      </c>
      <c r="D37" s="3" t="str">
        <f t="shared" si="1"/>
        <v/>
      </c>
      <c r="E37" s="45" t="str">
        <f t="shared" si="2"/>
        <v/>
      </c>
      <c r="F37" s="3"/>
      <c r="G37" s="39" t="str">
        <f t="shared" si="3"/>
        <v/>
      </c>
      <c r="H37" s="22"/>
      <c r="I37" s="22"/>
      <c r="J37" s="4"/>
      <c r="K37" s="4"/>
    </row>
    <row r="38" spans="2:11" x14ac:dyDescent="0.25">
      <c r="B38" s="1" t="e">
        <f t="shared" si="4"/>
        <v>#VALUE!</v>
      </c>
      <c r="C38" s="6" t="str" cm="1">
        <f t="array" ref="C38">IF(ISNUMBER(B38),_xlfn.IFS($K$2=1,$K$10/$F$10,$K$2=2,C37*(1-$F$9),$K$2=3,C37-$K$20),"")</f>
        <v/>
      </c>
      <c r="D38" s="3" t="str">
        <f t="shared" si="1"/>
        <v/>
      </c>
      <c r="E38" s="45" t="str">
        <f t="shared" si="2"/>
        <v/>
      </c>
      <c r="F38" s="3"/>
      <c r="G38" s="39" t="str">
        <f t="shared" si="3"/>
        <v/>
      </c>
      <c r="H38" s="22"/>
      <c r="I38" s="22"/>
      <c r="J38" s="4"/>
      <c r="K38" s="4"/>
    </row>
    <row r="39" spans="2:11" x14ac:dyDescent="0.25">
      <c r="B39" s="1" t="e">
        <f t="shared" si="4"/>
        <v>#VALUE!</v>
      </c>
      <c r="C39" s="6" t="str" cm="1">
        <f t="array" ref="C39">IF(ISNUMBER(B39),_xlfn.IFS($K$2=1,$K$10/$F$10,$K$2=2,C38*(1-$F$9),$K$2=3,C38-$K$20),"")</f>
        <v/>
      </c>
      <c r="D39" s="3" t="str">
        <f t="shared" si="1"/>
        <v/>
      </c>
      <c r="E39" s="45" t="str">
        <f t="shared" si="2"/>
        <v/>
      </c>
      <c r="F39" s="3"/>
      <c r="G39" s="39" t="str">
        <f t="shared" si="3"/>
        <v/>
      </c>
      <c r="H39" s="22"/>
      <c r="I39" s="22"/>
      <c r="J39" s="4"/>
      <c r="K39" s="4"/>
    </row>
    <row r="40" spans="2:11" x14ac:dyDescent="0.25">
      <c r="B40" s="1" t="e">
        <f t="shared" si="4"/>
        <v>#VALUE!</v>
      </c>
      <c r="C40" s="6" t="str" cm="1">
        <f t="array" ref="C40">IF(ISNUMBER(B40),_xlfn.IFS($K$2=1,$K$10/$F$10,$K$2=2,C39*(1-$F$9),$K$2=3,C39-$K$20),"")</f>
        <v/>
      </c>
      <c r="D40" s="3" t="str">
        <f t="shared" si="1"/>
        <v/>
      </c>
      <c r="E40" s="45" t="str">
        <f t="shared" si="2"/>
        <v/>
      </c>
      <c r="F40" s="3"/>
      <c r="G40" s="39" t="str">
        <f t="shared" si="3"/>
        <v/>
      </c>
      <c r="H40" s="22"/>
      <c r="I40" s="22"/>
      <c r="J40" s="4"/>
      <c r="K40" s="4"/>
    </row>
    <row r="41" spans="2:11" x14ac:dyDescent="0.25">
      <c r="B41" s="1" t="e">
        <f t="shared" si="4"/>
        <v>#VALUE!</v>
      </c>
      <c r="C41" s="6" t="str" cm="1">
        <f t="array" ref="C41">IF(ISNUMBER(B41),_xlfn.IFS($K$2=1,$K$10/$F$10,$K$2=2,C40*(1-$F$9),$K$2=3,C40-$K$20),"")</f>
        <v/>
      </c>
      <c r="D41" s="3" t="str">
        <f t="shared" si="1"/>
        <v/>
      </c>
      <c r="E41" s="45" t="str">
        <f t="shared" si="2"/>
        <v/>
      </c>
      <c r="F41" s="3"/>
      <c r="G41" s="39" t="str">
        <f t="shared" si="3"/>
        <v/>
      </c>
      <c r="H41" s="22"/>
      <c r="I41" s="22"/>
      <c r="J41" s="4"/>
      <c r="K41" s="4"/>
    </row>
    <row r="42" spans="2:11" x14ac:dyDescent="0.25">
      <c r="B42" s="1" t="e">
        <f t="shared" si="4"/>
        <v>#VALUE!</v>
      </c>
      <c r="C42" s="6" t="str" cm="1">
        <f t="array" ref="C42">IF(ISNUMBER(B42),_xlfn.IFS($K$2=1,$K$10/$F$10,$K$2=2,C41*(1-$F$9),$K$2=3,C41-$K$20),"")</f>
        <v/>
      </c>
      <c r="D42" s="3" t="str">
        <f t="shared" si="1"/>
        <v/>
      </c>
      <c r="E42" s="45" t="str">
        <f t="shared" si="2"/>
        <v/>
      </c>
      <c r="F42" s="3"/>
      <c r="G42" s="39" t="str">
        <f t="shared" si="3"/>
        <v/>
      </c>
      <c r="H42" s="22"/>
      <c r="I42" s="22"/>
      <c r="J42" s="4"/>
      <c r="K42" s="4"/>
    </row>
    <row r="43" spans="2:11" x14ac:dyDescent="0.25">
      <c r="B43" s="1" t="e">
        <f t="shared" si="4"/>
        <v>#VALUE!</v>
      </c>
      <c r="C43" s="6" t="str" cm="1">
        <f t="array" ref="C43">IF(ISNUMBER(B43),_xlfn.IFS($K$2=1,$K$10/$F$10,$K$2=2,C42*(1-$F$9),$K$2=3,C42-$K$20),"")</f>
        <v/>
      </c>
      <c r="D43" s="3" t="str">
        <f t="shared" si="1"/>
        <v/>
      </c>
      <c r="E43" s="45" t="str">
        <f t="shared" si="2"/>
        <v/>
      </c>
      <c r="F43" s="3"/>
      <c r="G43" s="39" t="str">
        <f t="shared" si="3"/>
        <v/>
      </c>
      <c r="H43" s="22"/>
      <c r="I43" s="22"/>
      <c r="J43" s="4"/>
      <c r="K43" s="4"/>
    </row>
    <row r="44" spans="2:11" x14ac:dyDescent="0.25">
      <c r="B44" s="1" t="e">
        <f t="shared" si="4"/>
        <v>#VALUE!</v>
      </c>
      <c r="C44" s="6" t="str" cm="1">
        <f t="array" ref="C44">IF(ISNUMBER(B44),_xlfn.IFS($K$2=1,$K$10/$F$10,$K$2=2,C43*(1-$F$9),$K$2=3,C43-$K$20),"")</f>
        <v/>
      </c>
      <c r="D44" s="3" t="str">
        <f t="shared" si="1"/>
        <v/>
      </c>
      <c r="E44" s="45" t="str">
        <f t="shared" si="2"/>
        <v/>
      </c>
      <c r="F44" s="3"/>
      <c r="G44" s="39" t="str">
        <f t="shared" si="3"/>
        <v/>
      </c>
      <c r="H44" s="22"/>
      <c r="I44" s="22"/>
      <c r="J44" s="4"/>
      <c r="K44" s="4"/>
    </row>
    <row r="45" spans="2:11" x14ac:dyDescent="0.25">
      <c r="B45" s="1" t="e">
        <f t="shared" si="4"/>
        <v>#VALUE!</v>
      </c>
      <c r="C45" s="6" t="str" cm="1">
        <f t="array" ref="C45">IF(ISNUMBER(B45),_xlfn.IFS($K$2=1,$K$10/$F$10,$K$2=2,C44*(1-$F$9),$K$2=3,C44-$K$20),"")</f>
        <v/>
      </c>
      <c r="D45" s="3" t="str">
        <f t="shared" si="1"/>
        <v/>
      </c>
      <c r="E45" s="45" t="str">
        <f t="shared" si="2"/>
        <v/>
      </c>
      <c r="F45" s="3"/>
      <c r="G45" s="39" t="str">
        <f t="shared" si="3"/>
        <v/>
      </c>
      <c r="H45" s="22"/>
      <c r="I45" s="22"/>
      <c r="J45" s="4"/>
      <c r="K45" s="4"/>
    </row>
    <row r="46" spans="2:11" x14ac:dyDescent="0.25">
      <c r="B46" s="1" t="e">
        <f t="shared" si="4"/>
        <v>#VALUE!</v>
      </c>
      <c r="C46" s="6" t="str" cm="1">
        <f t="array" ref="C46">IF(ISNUMBER(B46),_xlfn.IFS($K$2=1,$K$10/$F$10,$K$2=2,C45*(1-$F$9),$K$2=3,C45-$K$20),"")</f>
        <v/>
      </c>
      <c r="D46" s="3" t="str">
        <f t="shared" si="1"/>
        <v/>
      </c>
      <c r="E46" s="45" t="str">
        <f t="shared" si="2"/>
        <v/>
      </c>
      <c r="F46" s="3"/>
      <c r="G46" s="39" t="str">
        <f t="shared" si="3"/>
        <v/>
      </c>
      <c r="H46" s="22"/>
      <c r="I46" s="22"/>
      <c r="J46" s="4"/>
      <c r="K46" s="4"/>
    </row>
    <row r="47" spans="2:11" x14ac:dyDescent="0.25">
      <c r="B47" s="1" t="e">
        <f t="shared" si="4"/>
        <v>#VALUE!</v>
      </c>
      <c r="C47" s="6" t="str" cm="1">
        <f t="array" ref="C47">IF(ISNUMBER(B47),_xlfn.IFS($K$2=1,$K$10/$F$10,$K$2=2,C46*(1-$F$9),$K$2=3,C46-$K$20),"")</f>
        <v/>
      </c>
      <c r="D47" s="3" t="str">
        <f t="shared" si="1"/>
        <v/>
      </c>
      <c r="E47" s="45" t="str">
        <f t="shared" si="2"/>
        <v/>
      </c>
      <c r="F47" s="3"/>
      <c r="G47" s="39" t="str">
        <f t="shared" si="3"/>
        <v/>
      </c>
      <c r="H47" s="22"/>
      <c r="I47" s="22"/>
      <c r="J47" s="4"/>
      <c r="K47" s="4"/>
    </row>
    <row r="48" spans="2:11" x14ac:dyDescent="0.25">
      <c r="B48" s="1" t="e">
        <f t="shared" si="4"/>
        <v>#VALUE!</v>
      </c>
      <c r="C48" s="6" t="str" cm="1">
        <f t="array" ref="C48">IF(ISNUMBER(B48),_xlfn.IFS($K$2=1,$K$10/$F$10,$K$2=2,C47*(1-$F$9),$K$2=3,C47-$K$20),"")</f>
        <v/>
      </c>
      <c r="D48" s="3" t="str">
        <f t="shared" si="1"/>
        <v/>
      </c>
      <c r="E48" s="45" t="str">
        <f t="shared" si="2"/>
        <v/>
      </c>
      <c r="F48" s="3"/>
      <c r="G48" s="39" t="str">
        <f t="shared" si="3"/>
        <v/>
      </c>
      <c r="H48" s="22"/>
      <c r="I48" s="22"/>
      <c r="J48" s="4"/>
      <c r="K48" s="4"/>
    </row>
    <row r="49" spans="2:11" x14ac:dyDescent="0.25">
      <c r="B49" s="1" t="e">
        <f t="shared" si="4"/>
        <v>#VALUE!</v>
      </c>
      <c r="C49" s="6" t="str" cm="1">
        <f t="array" ref="C49">IF(ISNUMBER(B49),_xlfn.IFS($K$2=1,$K$10/$F$10,$K$2=2,C48*(1-$F$9),$K$2=3,C48-$K$20),"")</f>
        <v/>
      </c>
      <c r="D49" s="3" t="str">
        <f t="shared" si="1"/>
        <v/>
      </c>
      <c r="E49" s="45" t="str">
        <f t="shared" si="2"/>
        <v/>
      </c>
      <c r="F49" s="3"/>
      <c r="G49" s="39" t="str">
        <f t="shared" si="3"/>
        <v/>
      </c>
      <c r="H49" s="22"/>
      <c r="I49" s="22"/>
      <c r="J49" s="4"/>
      <c r="K49" s="4"/>
    </row>
    <row r="50" spans="2:11" x14ac:dyDescent="0.25">
      <c r="B50" s="1" t="e">
        <f t="shared" si="4"/>
        <v>#VALUE!</v>
      </c>
      <c r="C50" s="6" t="str" cm="1">
        <f t="array" ref="C50">IF(ISNUMBER(B50),_xlfn.IFS($K$2=1,$K$10/$F$10,$K$2=2,C49*(1-$F$9),$K$2=3,C49-$K$20),"")</f>
        <v/>
      </c>
      <c r="D50" s="3" t="str">
        <f t="shared" si="1"/>
        <v/>
      </c>
      <c r="E50" s="45" t="str">
        <f t="shared" si="2"/>
        <v/>
      </c>
      <c r="F50" s="3"/>
      <c r="G50" s="39" t="str">
        <f t="shared" si="3"/>
        <v/>
      </c>
      <c r="H50" s="22"/>
      <c r="I50" s="22"/>
      <c r="J50" s="4"/>
      <c r="K50" s="4"/>
    </row>
    <row r="51" spans="2:11" x14ac:dyDescent="0.25">
      <c r="B51" s="1" t="e">
        <f t="shared" si="4"/>
        <v>#VALUE!</v>
      </c>
      <c r="C51" s="6" t="str" cm="1">
        <f t="array" ref="C51">IF(ISNUMBER(B51),_xlfn.IFS($K$2=1,$K$10/$F$10,$K$2=2,C50*(1-$F$9),$K$2=3,C50-$K$20),"")</f>
        <v/>
      </c>
      <c r="D51" s="3" t="str">
        <f t="shared" si="1"/>
        <v/>
      </c>
      <c r="E51" s="45" t="str">
        <f t="shared" si="2"/>
        <v/>
      </c>
      <c r="F51" s="3"/>
      <c r="G51" s="39" t="str">
        <f t="shared" si="3"/>
        <v/>
      </c>
      <c r="H51" s="22"/>
      <c r="I51" s="22"/>
      <c r="J51" s="4"/>
      <c r="K51" s="4"/>
    </row>
    <row r="52" spans="2:11" x14ac:dyDescent="0.25">
      <c r="B52" s="1" t="e">
        <f t="shared" si="4"/>
        <v>#VALUE!</v>
      </c>
      <c r="C52" s="6" t="str" cm="1">
        <f t="array" ref="C52">IF(ISNUMBER(B52),_xlfn.IFS($K$2=1,$K$10/$F$10,$K$2=2,C51*(1-$F$9),$K$2=3,C51-$K$20),"")</f>
        <v/>
      </c>
      <c r="D52" s="3" t="str">
        <f t="shared" si="1"/>
        <v/>
      </c>
      <c r="E52" s="45" t="str">
        <f t="shared" si="2"/>
        <v/>
      </c>
      <c r="F52" s="3"/>
      <c r="G52" s="39" t="str">
        <f t="shared" si="3"/>
        <v/>
      </c>
      <c r="H52" s="22"/>
      <c r="I52" s="22"/>
      <c r="J52" s="4"/>
      <c r="K52" s="4"/>
    </row>
    <row r="53" spans="2:11" x14ac:dyDescent="0.25">
      <c r="B53" s="1" t="e">
        <f t="shared" si="4"/>
        <v>#VALUE!</v>
      </c>
      <c r="C53" s="6" t="str" cm="1">
        <f t="array" ref="C53">IF(ISNUMBER(B53),_xlfn.IFS($K$2=1,$K$10/$F$10,$K$2=2,C52*(1-$F$9),$K$2=3,C52-$K$20),"")</f>
        <v/>
      </c>
      <c r="D53" s="3" t="str">
        <f t="shared" si="1"/>
        <v/>
      </c>
      <c r="E53" s="45" t="str">
        <f t="shared" si="2"/>
        <v/>
      </c>
      <c r="F53" s="3"/>
      <c r="G53" s="39" t="str">
        <f t="shared" si="3"/>
        <v/>
      </c>
      <c r="H53" s="22"/>
      <c r="I53" s="22"/>
      <c r="J53" s="4"/>
      <c r="K53" s="4"/>
    </row>
  </sheetData>
  <mergeCells count="6">
    <mergeCell ref="B17:F17"/>
    <mergeCell ref="B15:F15"/>
    <mergeCell ref="E2:G2"/>
    <mergeCell ref="E3:G3"/>
    <mergeCell ref="E4:G4"/>
    <mergeCell ref="E5:G5"/>
  </mergeCells>
  <conditionalFormatting sqref="B18:D53">
    <cfRule type="expression" dxfId="2" priority="1">
      <formula>NOT(ISBLANK(B18))</formula>
    </cfRule>
    <cfRule type="expression" dxfId="1" priority="2">
      <formula>ISBLANK($B$18)</formula>
    </cfRule>
    <cfRule type="expression" dxfId="0" priority="3">
      <formula>ISBLANK($B$18:$E$53)</formula>
    </cfRule>
  </conditionalFormatting>
  <dataValidations disablePrompts="1" count="1">
    <dataValidation type="list" allowBlank="1" showInputMessage="1" showErrorMessage="1" promptTitle="Seleccione su método de pago" sqref="A3" xr:uid="{87BD4358-F710-4791-9F45-28C1CD0D1566}">
      <formula1>$E$3:$E$5</formula1>
    </dataValidation>
  </dataValidations>
  <pageMargins left="0.7" right="0.7" top="0.75" bottom="0.75" header="0.3" footer="0.3"/>
  <pageSetup orientation="portrait" horizontalDpi="360" verticalDpi="360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E33FC63F-DA17-488A-8BBE-C65026803CDC}">
          <x14:formula1>
            <xm:f>Empleados!$A$19:$A$21</xm:f>
          </x14:formula1>
          <xm:sqref>I24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996C8-119C-42BB-A936-3E461C942F3B}">
  <sheetPr codeName="Hoja2"/>
  <dimension ref="A1:I21"/>
  <sheetViews>
    <sheetView topLeftCell="B1" workbookViewId="0">
      <selection activeCell="D15" sqref="D15"/>
    </sheetView>
  </sheetViews>
  <sheetFormatPr baseColWidth="10" defaultColWidth="11.42578125" defaultRowHeight="15" x14ac:dyDescent="0.25"/>
  <cols>
    <col min="1" max="1" width="12.28515625" style="14" customWidth="1"/>
    <col min="2" max="2" width="12.28515625" customWidth="1"/>
    <col min="3" max="3" width="21.5703125" style="13" customWidth="1"/>
    <col min="4" max="4" width="29" style="20" customWidth="1"/>
    <col min="5" max="5" width="22.7109375" customWidth="1"/>
    <col min="6" max="6" width="28.28515625" style="31" customWidth="1"/>
    <col min="7" max="7" width="35.42578125" customWidth="1"/>
    <col min="8" max="8" width="16.42578125" bestFit="1" customWidth="1"/>
    <col min="9" max="9" width="23.28515625" bestFit="1" customWidth="1"/>
  </cols>
  <sheetData>
    <row r="1" spans="1:9" x14ac:dyDescent="0.25">
      <c r="A1" s="14" t="s">
        <v>13</v>
      </c>
      <c r="B1" t="s">
        <v>4</v>
      </c>
      <c r="C1" s="13" t="s">
        <v>27</v>
      </c>
      <c r="D1" s="20" t="s">
        <v>14</v>
      </c>
      <c r="E1" s="13" t="s">
        <v>15</v>
      </c>
      <c r="F1" s="20" t="s">
        <v>21</v>
      </c>
      <c r="G1" s="13" t="s">
        <v>28</v>
      </c>
      <c r="H1" s="10" t="s">
        <v>16</v>
      </c>
      <c r="I1" s="13" t="s">
        <v>17</v>
      </c>
    </row>
    <row r="2" spans="1:9" x14ac:dyDescent="0.25">
      <c r="A2" s="14">
        <v>1</v>
      </c>
      <c r="B2" s="14" t="s">
        <v>18</v>
      </c>
      <c r="C2" s="13">
        <v>3000000</v>
      </c>
      <c r="D2" s="20">
        <v>36</v>
      </c>
      <c r="E2" s="13">
        <v>3000000</v>
      </c>
      <c r="F2" s="20">
        <v>20</v>
      </c>
      <c r="G2" s="13">
        <f>Tabla2[[#This Row],[Aportes fondo]]*POWER(1+4%,Tabla2[[#This Row],[Tiempo en el fondo (meses)]])</f>
        <v>12311797.661941264</v>
      </c>
      <c r="H2">
        <v>1</v>
      </c>
      <c r="I2" s="13">
        <f>IF(Créditos!$A$6=Tabla2[[#This Row],[id]],Créditos!$K$23,)</f>
        <v>0</v>
      </c>
    </row>
    <row r="3" spans="1:9" x14ac:dyDescent="0.25">
      <c r="A3" s="14">
        <v>2</v>
      </c>
      <c r="B3" s="14" t="s">
        <v>19</v>
      </c>
      <c r="C3" s="13">
        <v>3000000</v>
      </c>
      <c r="D3" s="20">
        <v>12</v>
      </c>
      <c r="E3" s="13">
        <v>2000000</v>
      </c>
      <c r="F3" s="20">
        <v>12</v>
      </c>
      <c r="G3" s="13">
        <f>Tabla2[[#This Row],[Aportes fondo]]*POWER(1+4%,Tabla2[[#This Row],[Tiempo en el fondo (meses)]])</f>
        <v>4803096.6557030454</v>
      </c>
      <c r="H3">
        <v>2</v>
      </c>
      <c r="I3" s="13">
        <f>IF(Créditos!$A$6=Tabla2[[#This Row],[id]],Créditos!$K$23,)</f>
        <v>0</v>
      </c>
    </row>
    <row r="4" spans="1:9" x14ac:dyDescent="0.25">
      <c r="A4" s="14">
        <v>3</v>
      </c>
      <c r="B4" s="14" t="s">
        <v>20</v>
      </c>
      <c r="C4" s="13">
        <v>4000000</v>
      </c>
      <c r="D4" s="20">
        <v>17</v>
      </c>
      <c r="E4" s="13">
        <v>4000000</v>
      </c>
      <c r="F4" s="20">
        <v>12</v>
      </c>
      <c r="G4" s="13">
        <f>Tabla2[[#This Row],[Aportes fondo]]*POWER(1+4%,Tabla2[[#This Row],[Tiempo en el fondo (meses)]])</f>
        <v>7791601.9822251266</v>
      </c>
      <c r="H4">
        <v>3</v>
      </c>
      <c r="I4" s="13">
        <f>IF(Créditos!$A$6=Tabla2[[#This Row],[id]],Créditos!$K$23,)</f>
        <v>0</v>
      </c>
    </row>
    <row r="5" spans="1:9" x14ac:dyDescent="0.25">
      <c r="B5" s="14"/>
      <c r="E5" s="13"/>
      <c r="F5" s="20"/>
      <c r="G5" s="13"/>
      <c r="I5" s="13">
        <f>IF(Créditos!$A$6=Tabla2[[#This Row],[id]],Créditos!$K$23,)</f>
        <v>0</v>
      </c>
    </row>
    <row r="14" spans="1:9" x14ac:dyDescent="0.25">
      <c r="G14" t="s">
        <v>35</v>
      </c>
    </row>
    <row r="18" spans="1:9" x14ac:dyDescent="0.25">
      <c r="A18" s="27"/>
      <c r="B18" s="28"/>
      <c r="C18" s="29"/>
      <c r="D18" s="30"/>
      <c r="E18" s="28"/>
      <c r="F18" s="32"/>
      <c r="G18" s="28"/>
      <c r="H18" s="28"/>
      <c r="I18" s="28"/>
    </row>
    <row r="19" spans="1:9" x14ac:dyDescent="0.25">
      <c r="B19" s="14"/>
      <c r="C19" s="34"/>
      <c r="D19" s="35"/>
      <c r="E19" s="34"/>
      <c r="F19" s="35"/>
      <c r="G19" s="34"/>
      <c r="I19" s="34"/>
    </row>
    <row r="20" spans="1:9" x14ac:dyDescent="0.25">
      <c r="B20" s="14"/>
      <c r="C20" s="34"/>
      <c r="D20" s="35"/>
      <c r="E20" s="34"/>
      <c r="F20" s="35"/>
      <c r="G20" s="34"/>
      <c r="I20" s="34"/>
    </row>
    <row r="21" spans="1:9" x14ac:dyDescent="0.25">
      <c r="B21" s="14"/>
      <c r="C21" s="34"/>
      <c r="D21" s="35"/>
      <c r="E21" s="34"/>
      <c r="F21" s="35"/>
      <c r="G21" s="34"/>
      <c r="I21" s="34"/>
    </row>
  </sheetData>
  <pageMargins left="0.7" right="0.7" top="0.75" bottom="0.75" header="0.3" footer="0.3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criptIds xmlns="http://schemas.microsoft.com/office/extensibility/maker/v1.0" id="script-ids-node-id">
  <scriptId id="ms-officescript%3A%2F%2Fonedrive_business_itemlink%2F01NHZRR24Y3UKP73UMMVC2P6ZOOWH47RCY:ms-officescript%3A%2F%2Fonedrive_business_sharinglink%2Fu!aHR0cHM6Ly91ZGlzdHJpdGFsZWR1Y28tbXkuc2hhcmVwb2ludC5jb20vOnU6L2cvcGVyc29uYWwvcG9qdWFuZF91ZGlzdHJpdGFsX2VkdV9jby9FWmpkRlBfdWpHVkZwX3N1ZFlfUHhGZ0JPLWpwckpTMGViZjFTblRSOWVpV09n"/>
</scriptIds>
</file>

<file path=customXml/itemProps1.xml><?xml version="1.0" encoding="utf-8"?>
<ds:datastoreItem xmlns:ds="http://schemas.openxmlformats.org/officeDocument/2006/customXml" ds:itemID="{45E6B522-2A01-4C4C-8076-EDFDAF3B4D9B}">
  <ds:schemaRefs>
    <ds:schemaRef ds:uri="http://schemas.microsoft.com/office/extensibility/maker/v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Créditos</vt:lpstr>
      <vt:lpstr>Empleados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PAEZ OLIVARES JUAN DAVID</dc:creator>
  <cp:keywords/>
  <dc:description/>
  <cp:lastModifiedBy>PAEZ OLIVARES JUAN DAVID</cp:lastModifiedBy>
  <cp:revision/>
  <dcterms:created xsi:type="dcterms:W3CDTF">2024-11-05T21:24:20Z</dcterms:created>
  <dcterms:modified xsi:type="dcterms:W3CDTF">2024-11-22T02:57:01Z</dcterms:modified>
  <cp:category/>
  <cp:contentStatus/>
</cp:coreProperties>
</file>